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4785" windowHeight="5520" firstSheet="1" activeTab="5"/>
  </bookViews>
  <sheets>
    <sheet name="Übersichtsbericht" sheetId="1" r:id="rId1"/>
    <sheet name="NS-MU" sheetId="2" r:id="rId2"/>
    <sheet name="2 Produkte" sheetId="3" r:id="rId3"/>
    <sheet name="Gesamtkosten" sheetId="4" r:id="rId4"/>
    <sheet name="Graph" sheetId="5" r:id="rId5"/>
    <sheet name="Warenhandel" sheetId="6" r:id="rId6"/>
    <sheet name="Plan-Ist" sheetId="7" r:id="rId7"/>
  </sheets>
  <definedNames>
    <definedName name="Betriebserfolg">'Warenhandel'!$F$25</definedName>
    <definedName name="DB">'Warenhandel'!$F$21</definedName>
    <definedName name="DB_Prozent">'NS-MU'!$C$5</definedName>
    <definedName name="DB_Stk">'NS-MU'!$B$5</definedName>
    <definedName name="Erfolg">'NS-MU'!$B$9</definedName>
    <definedName name="Erlös_Prozent">'NS-MU'!$C$3</definedName>
    <definedName name="Erlös_Stk">'NS-MU'!$B$3</definedName>
    <definedName name="Fixkosten">'NS-MU'!$B$7</definedName>
    <definedName name="m_Mindestumsatz">'NS-MU'!$B$14</definedName>
    <definedName name="m_Nutzschwelle">'NS-MU'!$B$12</definedName>
    <definedName name="v.Ko_Prozent">'NS-MU'!$C$4</definedName>
    <definedName name="v.Ko_Stk">'NS-MU'!$B$4</definedName>
    <definedName name="w_Mindestumsatz">'NS-MU'!$E$14</definedName>
    <definedName name="w_Nutzschwelle">'NS-MU'!$E$12</definedName>
  </definedNames>
  <calcPr fullCalcOnLoad="1"/>
</workbook>
</file>

<file path=xl/sharedStrings.xml><?xml version="1.0" encoding="utf-8"?>
<sst xmlns="http://schemas.openxmlformats.org/spreadsheetml/2006/main" count="179" uniqueCount="99">
  <si>
    <t>Erlös / Stück</t>
  </si>
  <si>
    <t>var. Kosten / Stück</t>
  </si>
  <si>
    <t>DB / Stück</t>
  </si>
  <si>
    <t>Fixkosten</t>
  </si>
  <si>
    <t>Erfolgserwartungen</t>
  </si>
  <si>
    <t>Nutzschwelle und Mindestumsätze</t>
  </si>
  <si>
    <t>Nutzschwelle</t>
  </si>
  <si>
    <t>Mindestumsatz</t>
  </si>
  <si>
    <t>B</t>
  </si>
  <si>
    <t>A</t>
  </si>
  <si>
    <t>Erlös/Stück</t>
  </si>
  <si>
    <t>var. Ko/Stück</t>
  </si>
  <si>
    <t>DB/Stück</t>
  </si>
  <si>
    <t>Erfolgserwartung</t>
  </si>
  <si>
    <t>m. Nutzschwelle</t>
  </si>
  <si>
    <t>m. Mindestumsatz</t>
  </si>
  <si>
    <t>w. Nutzschwelle</t>
  </si>
  <si>
    <t>w. Mindestumsatz</t>
  </si>
  <si>
    <t>Menge</t>
  </si>
  <si>
    <t>Erlös</t>
  </si>
  <si>
    <t>var. Kosten</t>
  </si>
  <si>
    <t>Selbstkosten</t>
  </si>
  <si>
    <t>Stückberechnung</t>
  </si>
  <si>
    <t>Absatz</t>
  </si>
  <si>
    <t>Durchschnitt</t>
  </si>
  <si>
    <t>Prozent</t>
  </si>
  <si>
    <t>F</t>
  </si>
  <si>
    <t>Produkte</t>
  </si>
  <si>
    <t>Nutzschwellen und Mindestumsätze</t>
  </si>
  <si>
    <t>Berechnung nach Absatzmengen</t>
  </si>
  <si>
    <t>Planzahlen</t>
  </si>
  <si>
    <t>Einstandspreis</t>
  </si>
  <si>
    <t>Planverkäufe</t>
  </si>
  <si>
    <t>Planeinkäufe</t>
  </si>
  <si>
    <t>H'Marge</t>
  </si>
  <si>
    <t>Berechnungen</t>
  </si>
  <si>
    <t>Nettoerlös</t>
  </si>
  <si>
    <t>Bruttogewinn</t>
  </si>
  <si>
    <t>B-Änderung</t>
  </si>
  <si>
    <t>Plan-Absatz-Erfolgsrechnung</t>
  </si>
  <si>
    <t>Warenkosten</t>
  </si>
  <si>
    <t>DB</t>
  </si>
  <si>
    <t>Betriebserfolg</t>
  </si>
  <si>
    <t>Werbekampagne</t>
  </si>
  <si>
    <t>Verkaufsänderung</t>
  </si>
  <si>
    <t>Preisänderung</t>
  </si>
  <si>
    <t>Werbekosten</t>
  </si>
  <si>
    <t>Aufgabe 98: Sortimentspolitik im Warenhandel</t>
  </si>
  <si>
    <t>Budget: Januar - Juni</t>
  </si>
  <si>
    <t>Verkauf in Stück</t>
  </si>
  <si>
    <t>Einstandspreis/Stück</t>
  </si>
  <si>
    <t>v. Ko/Stück</t>
  </si>
  <si>
    <t>Nettoerlös/Stück</t>
  </si>
  <si>
    <t>fixe Kosten</t>
  </si>
  <si>
    <t>G</t>
  </si>
  <si>
    <t>H</t>
  </si>
  <si>
    <t>Total</t>
  </si>
  <si>
    <t>Plan-DB</t>
  </si>
  <si>
    <t>Plan-Kostenträgerreitrechnung</t>
  </si>
  <si>
    <t>variable Kosten</t>
  </si>
  <si>
    <t>Halbjahrfixkosten</t>
  </si>
  <si>
    <t>Plan-Betriebserfolg</t>
  </si>
  <si>
    <t>Ist-Werte: Januar - März</t>
  </si>
  <si>
    <t>Ist-DB</t>
  </si>
  <si>
    <t>DB-Total</t>
  </si>
  <si>
    <t>DB in % zu Halbjahresfixkosten</t>
  </si>
  <si>
    <t>Ist-Erlöse - Plan-Kosten: Januar - März</t>
  </si>
  <si>
    <t>Plan-DB-Total</t>
  </si>
  <si>
    <t>Ist-Werte: Januar - Juni</t>
  </si>
  <si>
    <t>Ist-DB-Total</t>
  </si>
  <si>
    <t>Ist-Halbjahresfixkosten</t>
  </si>
  <si>
    <t>Tatsächlicher Betriebserfolg</t>
  </si>
  <si>
    <t>Aufgabe 103: Plan - Ist - Vergleiche</t>
  </si>
  <si>
    <t>Plan- Ist - Differenz: Januar - Juni</t>
  </si>
  <si>
    <t>Erlös_Stk</t>
  </si>
  <si>
    <t>v.Ko_Stk</t>
  </si>
  <si>
    <t>Erfolg</t>
  </si>
  <si>
    <t>DB_Prozent</t>
  </si>
  <si>
    <t>DB_Stk</t>
  </si>
  <si>
    <t>m_Nutzschwelle</t>
  </si>
  <si>
    <t>m_Mindestumsatz</t>
  </si>
  <si>
    <t>w_Nutzschwelle</t>
  </si>
  <si>
    <t>w_Mindestumsatz</t>
  </si>
  <si>
    <t>Ausgangslage</t>
  </si>
  <si>
    <t>Erstellt von Dana Prochazka am 22.06.98
Modifiziert von Dana Prochazka am 22.06.98</t>
  </si>
  <si>
    <t>Gewinn</t>
  </si>
  <si>
    <t>Erstellt von Dana Prochazka am 22.06.98</t>
  </si>
  <si>
    <t>neue Maschine</t>
  </si>
  <si>
    <t>Werbung</t>
  </si>
  <si>
    <t>Rationalisierung</t>
  </si>
  <si>
    <t>Asien</t>
  </si>
  <si>
    <t>Erstellt von Dana Prochazka am 23.06.98</t>
  </si>
  <si>
    <t>Übersichtsbericht</t>
  </si>
  <si>
    <t>Veränderbare Zellen:</t>
  </si>
  <si>
    <t>Aktuelle Werte:</t>
  </si>
  <si>
    <t>Ergebniszellen:</t>
  </si>
  <si>
    <t xml:space="preserve">Anmerkung: Die Aktuelle Werte-Spalte repräsentiert die Werte der veränderbaren </t>
  </si>
  <si>
    <t xml:space="preserve">Zellen zum Zeitpunkt, als der Übersichtsbericht erstellt wurde. Veränderbare Zellen </t>
  </si>
  <si>
    <t>für Szenarios sind in grau hervorgehoben.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</si>
</sst>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Fr.&quot;\ * #,##0.0_ ;_ &quot;Fr.&quot;\ * \-#,##0.0_ ;_ &quot;Fr.&quot;\ * &quot;-&quot;_ ;_ @_ "/>
    <numFmt numFmtId="165" formatCode="_ &quot;Fr.&quot;\ * #,##0.00_ ;_ &quot;Fr.&quot;\ * \-#,##0.00_ ;_ &quot;Fr.&quot;\ * &quot;-&quot;_ ;_ @_ "/>
    <numFmt numFmtId="166" formatCode="#,##0&quot; Stk.&quot;"/>
    <numFmt numFmtId="167" formatCode="0.0%"/>
    <numFmt numFmtId="168" formatCode="_ * #,##0.0_ ;_ * \-#,##0.0_ ;_ * &quot;-&quot;??_ ;_ @_ "/>
    <numFmt numFmtId="169" formatCode="_ * #,##0_ ;_ * \-#,##0_ ;_ * &quot;-&quot;??_ ;_ @_ "/>
  </numFmts>
  <fonts count="14"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b/>
      <i/>
      <sz val="11"/>
      <name val="Arial"/>
      <family val="2"/>
    </font>
    <font>
      <b/>
      <sz val="12"/>
      <color indexed="9"/>
      <name val="Arial"/>
      <family val="0"/>
    </font>
    <font>
      <b/>
      <sz val="11"/>
      <color indexed="8"/>
      <name val="Arial"/>
      <family val="0"/>
    </font>
    <font>
      <b/>
      <sz val="11"/>
      <color indexed="18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6" fontId="4" fillId="2" borderId="2" xfId="0" applyNumberFormat="1" applyFont="1" applyFill="1" applyBorder="1" applyAlignment="1">
      <alignment/>
    </xf>
    <xf numFmtId="44" fontId="4" fillId="2" borderId="2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5" fontId="5" fillId="2" borderId="4" xfId="0" applyNumberFormat="1" applyFont="1" applyFill="1" applyBorder="1" applyAlignment="1">
      <alignment/>
    </xf>
    <xf numFmtId="10" fontId="5" fillId="0" borderId="5" xfId="17" applyNumberFormat="1" applyFont="1" applyBorder="1" applyAlignment="1">
      <alignment/>
    </xf>
    <xf numFmtId="10" fontId="5" fillId="0" borderId="6" xfId="17" applyNumberFormat="1" applyFont="1" applyBorder="1" applyAlignment="1">
      <alignment/>
    </xf>
    <xf numFmtId="165" fontId="5" fillId="2" borderId="7" xfId="0" applyNumberFormat="1" applyFont="1" applyFill="1" applyBorder="1" applyAlignment="1">
      <alignment/>
    </xf>
    <xf numFmtId="10" fontId="5" fillId="0" borderId="8" xfId="17" applyNumberFormat="1" applyFont="1" applyBorder="1" applyAlignment="1">
      <alignment/>
    </xf>
    <xf numFmtId="165" fontId="5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3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0" fontId="7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44" fontId="5" fillId="0" borderId="3" xfId="0" applyNumberFormat="1" applyFont="1" applyBorder="1" applyAlignment="1">
      <alignment/>
    </xf>
    <xf numFmtId="10" fontId="5" fillId="0" borderId="0" xfId="17" applyNumberFormat="1" applyFont="1" applyAlignment="1">
      <alignment/>
    </xf>
    <xf numFmtId="44" fontId="5" fillId="0" borderId="1" xfId="0" applyNumberFormat="1" applyFont="1" applyBorder="1" applyAlignment="1">
      <alignment/>
    </xf>
    <xf numFmtId="44" fontId="5" fillId="0" borderId="4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/>
    </xf>
    <xf numFmtId="42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2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165" fontId="5" fillId="0" borderId="14" xfId="0" applyNumberFormat="1" applyFont="1" applyFill="1" applyBorder="1" applyAlignment="1">
      <alignment/>
    </xf>
    <xf numFmtId="10" fontId="5" fillId="0" borderId="15" xfId="17" applyNumberFormat="1" applyFont="1" applyBorder="1" applyAlignment="1">
      <alignment/>
    </xf>
    <xf numFmtId="10" fontId="5" fillId="0" borderId="16" xfId="17" applyNumberFormat="1" applyFont="1" applyBorder="1" applyAlignment="1">
      <alignment/>
    </xf>
    <xf numFmtId="10" fontId="5" fillId="0" borderId="17" xfId="17" applyNumberFormat="1" applyFont="1" applyBorder="1" applyAlignment="1">
      <alignment/>
    </xf>
    <xf numFmtId="0" fontId="5" fillId="0" borderId="18" xfId="0" applyFont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6" fontId="5" fillId="0" borderId="20" xfId="0" applyNumberFormat="1" applyFont="1" applyBorder="1" applyAlignment="1">
      <alignment/>
    </xf>
    <xf numFmtId="42" fontId="5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42" fontId="5" fillId="0" borderId="21" xfId="0" applyNumberFormat="1" applyFont="1" applyBorder="1" applyAlignment="1">
      <alignment/>
    </xf>
    <xf numFmtId="42" fontId="5" fillId="0" borderId="18" xfId="0" applyNumberFormat="1" applyFont="1" applyBorder="1" applyAlignment="1">
      <alignment/>
    </xf>
    <xf numFmtId="42" fontId="5" fillId="0" borderId="19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44" fontId="0" fillId="2" borderId="1" xfId="0" applyNumberFormat="1" applyFill="1" applyBorder="1" applyAlignment="1">
      <alignment/>
    </xf>
    <xf numFmtId="0" fontId="8" fillId="0" borderId="0" xfId="0" applyFont="1" applyAlignment="1">
      <alignment/>
    </xf>
    <xf numFmtId="42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2" fontId="0" fillId="0" borderId="18" xfId="0" applyNumberFormat="1" applyBorder="1" applyAlignment="1">
      <alignment/>
    </xf>
    <xf numFmtId="0" fontId="1" fillId="0" borderId="12" xfId="0" applyFont="1" applyBorder="1" applyAlignment="1">
      <alignment/>
    </xf>
    <xf numFmtId="42" fontId="0" fillId="2" borderId="10" xfId="0" applyNumberFormat="1" applyFill="1" applyBorder="1" applyAlignment="1">
      <alignment/>
    </xf>
    <xf numFmtId="0" fontId="0" fillId="0" borderId="19" xfId="0" applyBorder="1" applyAlignment="1">
      <alignment/>
    </xf>
    <xf numFmtId="42" fontId="0" fillId="0" borderId="24" xfId="0" applyNumberFormat="1" applyBorder="1" applyAlignment="1">
      <alignment/>
    </xf>
    <xf numFmtId="0" fontId="0" fillId="0" borderId="10" xfId="0" applyBorder="1" applyAlignment="1">
      <alignment/>
    </xf>
    <xf numFmtId="42" fontId="0" fillId="0" borderId="19" xfId="0" applyNumberFormat="1" applyBorder="1" applyAlignment="1">
      <alignment/>
    </xf>
    <xf numFmtId="42" fontId="0" fillId="2" borderId="0" xfId="0" applyNumberFormat="1" applyFill="1" applyBorder="1" applyAlignment="1">
      <alignment/>
    </xf>
    <xf numFmtId="42" fontId="0" fillId="2" borderId="18" xfId="0" applyNumberFormat="1" applyFill="1" applyBorder="1" applyAlignment="1">
      <alignment/>
    </xf>
    <xf numFmtId="167" fontId="1" fillId="2" borderId="18" xfId="17" applyNumberFormat="1" applyFont="1" applyFill="1" applyBorder="1" applyAlignment="1">
      <alignment/>
    </xf>
    <xf numFmtId="0" fontId="0" fillId="0" borderId="12" xfId="0" applyBorder="1" applyAlignment="1">
      <alignment/>
    </xf>
    <xf numFmtId="42" fontId="0" fillId="2" borderId="24" xfId="0" applyNumberFormat="1" applyFill="1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2" fontId="0" fillId="3" borderId="18" xfId="0" applyNumberFormat="1" applyFill="1" applyBorder="1" applyAlignment="1">
      <alignment/>
    </xf>
    <xf numFmtId="42" fontId="0" fillId="3" borderId="24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9" fillId="4" borderId="25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10" fillId="5" borderId="0" xfId="0" applyFont="1" applyFill="1" applyBorder="1" applyAlignment="1">
      <alignment horizontal="left"/>
    </xf>
    <xf numFmtId="0" fontId="11" fillId="5" borderId="26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2" fillId="4" borderId="14" xfId="0" applyFont="1" applyFill="1" applyBorder="1" applyAlignment="1">
      <alignment horizontal="right"/>
    </xf>
    <xf numFmtId="0" fontId="12" fillId="4" borderId="25" xfId="0" applyFont="1" applyFill="1" applyBorder="1" applyAlignment="1">
      <alignment horizontal="right"/>
    </xf>
    <xf numFmtId="165" fontId="0" fillId="3" borderId="0" xfId="0" applyNumberFormat="1" applyFill="1" applyBorder="1" applyAlignment="1">
      <alignment/>
    </xf>
    <xf numFmtId="0" fontId="13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graphische Darstellung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5"/>
          <c:w val="0.8317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Gesamtkosten!$F$3</c:f>
              <c:strCache>
                <c:ptCount val="1"/>
                <c:pt idx="0">
                  <c:v>Erlös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Gesamtkosten!$E$4:$E$15</c:f>
              <c:numCache>
                <c:ptCount val="12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</c:numCache>
            </c:numRef>
          </c:cat>
          <c:val>
            <c:numRef>
              <c:f>Gesamtkosten!$F$4:$F$15</c:f>
              <c:numCache>
                <c:ptCount val="12"/>
                <c:pt idx="0">
                  <c:v>0</c:v>
                </c:pt>
                <c:pt idx="1">
                  <c:v>50000</c:v>
                </c:pt>
                <c:pt idx="2">
                  <c:v>100000</c:v>
                </c:pt>
                <c:pt idx="3">
                  <c:v>150000</c:v>
                </c:pt>
                <c:pt idx="4">
                  <c:v>200000</c:v>
                </c:pt>
                <c:pt idx="5">
                  <c:v>250000</c:v>
                </c:pt>
                <c:pt idx="6">
                  <c:v>300000</c:v>
                </c:pt>
                <c:pt idx="7">
                  <c:v>350000</c:v>
                </c:pt>
                <c:pt idx="8">
                  <c:v>400000</c:v>
                </c:pt>
                <c:pt idx="9">
                  <c:v>450000</c:v>
                </c:pt>
                <c:pt idx="10">
                  <c:v>500000</c:v>
                </c:pt>
                <c:pt idx="11">
                  <c:v>550000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Gesamtkosten!$G$3</c:f>
              <c:strCache>
                <c:ptCount val="1"/>
                <c:pt idx="0">
                  <c:v>var. Kosten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Gesamtkosten!$E$4:$E$15</c:f>
              <c:numCache>
                <c:ptCount val="12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</c:numCache>
            </c:numRef>
          </c:cat>
          <c:val>
            <c:numRef>
              <c:f>Gesamtkosten!$G$4:$G$15</c:f>
              <c:numCache>
                <c:ptCount val="12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  <c:pt idx="11">
                  <c:v>220000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Gesamtkosten!$I$3</c:f>
              <c:strCache>
                <c:ptCount val="1"/>
                <c:pt idx="0">
                  <c:v>Selbstkosten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Gesamtkosten!$E$4:$E$15</c:f>
              <c:numCache>
                <c:ptCount val="12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</c:numCache>
            </c:numRef>
          </c:cat>
          <c:val>
            <c:numRef>
              <c:f>Gesamtkosten!$I$4:$I$15</c:f>
              <c:numCache>
                <c:ptCount val="12"/>
                <c:pt idx="0">
                  <c:v>150000</c:v>
                </c:pt>
                <c:pt idx="1">
                  <c:v>170000</c:v>
                </c:pt>
                <c:pt idx="2">
                  <c:v>190000</c:v>
                </c:pt>
                <c:pt idx="3">
                  <c:v>210000</c:v>
                </c:pt>
                <c:pt idx="4">
                  <c:v>230000</c:v>
                </c:pt>
                <c:pt idx="5">
                  <c:v>250000</c:v>
                </c:pt>
                <c:pt idx="6">
                  <c:v>270000</c:v>
                </c:pt>
                <c:pt idx="7">
                  <c:v>290000</c:v>
                </c:pt>
                <c:pt idx="8">
                  <c:v>310000</c:v>
                </c:pt>
                <c:pt idx="9">
                  <c:v>330000</c:v>
                </c:pt>
                <c:pt idx="10">
                  <c:v>350000</c:v>
                </c:pt>
                <c:pt idx="11">
                  <c:v>370000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Gesamtkosten!$H$3</c:f>
              <c:strCache>
                <c:ptCount val="1"/>
                <c:pt idx="0">
                  <c:v>Fixkosten</c:v>
                </c:pt>
              </c:strCache>
            </c:strRef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Gesamtkosten!$E$4:$E$15</c:f>
              <c:numCache>
                <c:ptCount val="12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</c:numCache>
            </c:numRef>
          </c:cat>
          <c:val>
            <c:numRef>
              <c:f>Gesamtkosten!$H$4:$H$15</c:f>
              <c:numCache>
                <c:ptCount val="12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  <c:pt idx="3">
                  <c:v>150000</c:v>
                </c:pt>
                <c:pt idx="4">
                  <c:v>150000</c:v>
                </c:pt>
                <c:pt idx="5">
                  <c:v>150000</c:v>
                </c:pt>
                <c:pt idx="6">
                  <c:v>150000</c:v>
                </c:pt>
                <c:pt idx="7">
                  <c:v>150000</c:v>
                </c:pt>
                <c:pt idx="8">
                  <c:v>150000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</c:numCache>
            </c:numRef>
          </c:val>
          <c:smooth val="1"/>
        </c:ser>
        <c:axId val="39252302"/>
        <c:axId val="17726399"/>
      </c:lineChart>
      <c:catAx>
        <c:axId val="392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Absatzmengen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2302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0.1295</cdr:y>
    </cdr:from>
    <cdr:to>
      <cdr:x>0.427</cdr:x>
      <cdr:y>0.84175</cdr:y>
    </cdr:to>
    <cdr:sp>
      <cdr:nvSpPr>
        <cdr:cNvPr id="1" name="Line 1"/>
        <cdr:cNvSpPr>
          <a:spLocks/>
        </cdr:cNvSpPr>
      </cdr:nvSpPr>
      <cdr:spPr>
        <a:xfrm>
          <a:off x="3933825" y="742950"/>
          <a:ext cx="9525" cy="409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19"/>
  <sheetViews>
    <sheetView showGridLines="0" workbookViewId="0" topLeftCell="D1">
      <selection activeCell="A1" sqref="A1"/>
    </sheetView>
  </sheetViews>
  <sheetFormatPr defaultColWidth="11.00390625" defaultRowHeight="14.25" outlineLevelRow="1" outlineLevelCol="1"/>
  <cols>
    <col min="3" max="3" width="16.75390625" style="0" bestFit="1" customWidth="1"/>
    <col min="4" max="10" width="13.50390625" style="0" bestFit="1" customWidth="1" outlineLevel="1"/>
  </cols>
  <sheetData>
    <row r="1" ht="15" thickBot="1"/>
    <row r="2" spans="2:10" ht="15.75">
      <c r="B2" s="108" t="s">
        <v>92</v>
      </c>
      <c r="C2" s="108"/>
      <c r="D2" s="113"/>
      <c r="E2" s="113"/>
      <c r="F2" s="113"/>
      <c r="G2" s="113"/>
      <c r="H2" s="113"/>
      <c r="I2" s="113"/>
      <c r="J2" s="113"/>
    </row>
    <row r="3" spans="2:10" ht="15.75" collapsed="1">
      <c r="B3" s="107"/>
      <c r="C3" s="107"/>
      <c r="D3" s="114" t="s">
        <v>94</v>
      </c>
      <c r="E3" s="114" t="s">
        <v>83</v>
      </c>
      <c r="F3" s="114" t="s">
        <v>85</v>
      </c>
      <c r="G3" s="114" t="s">
        <v>87</v>
      </c>
      <c r="H3" s="114" t="s">
        <v>88</v>
      </c>
      <c r="I3" s="114" t="s">
        <v>89</v>
      </c>
      <c r="J3" s="114" t="s">
        <v>90</v>
      </c>
    </row>
    <row r="4" spans="2:10" ht="67.5" hidden="1" outlineLevel="1">
      <c r="B4" s="110"/>
      <c r="C4" s="110"/>
      <c r="D4" s="101"/>
      <c r="E4" s="116" t="s">
        <v>84</v>
      </c>
      <c r="F4" s="116" t="s">
        <v>86</v>
      </c>
      <c r="G4" s="116" t="s">
        <v>86</v>
      </c>
      <c r="H4" s="116" t="s">
        <v>84</v>
      </c>
      <c r="I4" s="116" t="s">
        <v>84</v>
      </c>
      <c r="J4" s="116" t="s">
        <v>91</v>
      </c>
    </row>
    <row r="5" spans="2:10" ht="15">
      <c r="B5" s="111" t="s">
        <v>93</v>
      </c>
      <c r="C5" s="111"/>
      <c r="D5" s="109"/>
      <c r="E5" s="109"/>
      <c r="F5" s="109"/>
      <c r="G5" s="109"/>
      <c r="H5" s="109"/>
      <c r="I5" s="109"/>
      <c r="J5" s="109"/>
    </row>
    <row r="6" spans="2:10" ht="15" outlineLevel="1">
      <c r="B6" s="110"/>
      <c r="C6" s="110" t="s">
        <v>74</v>
      </c>
      <c r="D6" s="102">
        <v>8</v>
      </c>
      <c r="E6" s="115">
        <v>8</v>
      </c>
      <c r="F6" s="115">
        <v>8</v>
      </c>
      <c r="G6" s="115">
        <v>8</v>
      </c>
      <c r="H6" s="115">
        <v>10</v>
      </c>
      <c r="I6" s="115">
        <v>8</v>
      </c>
      <c r="J6" s="115">
        <v>6</v>
      </c>
    </row>
    <row r="7" spans="2:10" ht="15" outlineLevel="1">
      <c r="B7" s="110"/>
      <c r="C7" s="110" t="s">
        <v>75</v>
      </c>
      <c r="D7" s="102">
        <v>5</v>
      </c>
      <c r="E7" s="115">
        <v>5</v>
      </c>
      <c r="F7" s="115">
        <v>5</v>
      </c>
      <c r="G7" s="115">
        <v>3</v>
      </c>
      <c r="H7" s="115">
        <v>6</v>
      </c>
      <c r="I7" s="115">
        <v>4.5</v>
      </c>
      <c r="J7" s="115">
        <v>4</v>
      </c>
    </row>
    <row r="8" spans="2:10" ht="15" outlineLevel="1">
      <c r="B8" s="110"/>
      <c r="C8" s="110" t="s">
        <v>3</v>
      </c>
      <c r="D8" s="102">
        <v>120000</v>
      </c>
      <c r="E8" s="115">
        <v>120000</v>
      </c>
      <c r="F8" s="115">
        <v>120000</v>
      </c>
      <c r="G8" s="115">
        <v>150000</v>
      </c>
      <c r="H8" s="115">
        <v>130000</v>
      </c>
      <c r="I8" s="115">
        <v>100000</v>
      </c>
      <c r="J8" s="115">
        <v>160000</v>
      </c>
    </row>
    <row r="9" spans="2:10" ht="15" outlineLevel="1">
      <c r="B9" s="110"/>
      <c r="C9" s="110" t="s">
        <v>76</v>
      </c>
      <c r="D9" s="102">
        <v>50000</v>
      </c>
      <c r="E9" s="115">
        <v>10000</v>
      </c>
      <c r="F9" s="115">
        <v>50000</v>
      </c>
      <c r="G9" s="115">
        <v>50000</v>
      </c>
      <c r="H9" s="115">
        <v>50000</v>
      </c>
      <c r="I9" s="115">
        <v>50000</v>
      </c>
      <c r="J9" s="115">
        <v>65000</v>
      </c>
    </row>
    <row r="10" spans="2:10" ht="15">
      <c r="B10" s="111" t="s">
        <v>95</v>
      </c>
      <c r="C10" s="111"/>
      <c r="D10" s="109"/>
      <c r="E10" s="109"/>
      <c r="F10" s="109"/>
      <c r="G10" s="109"/>
      <c r="H10" s="109"/>
      <c r="I10" s="109"/>
      <c r="J10" s="109"/>
    </row>
    <row r="11" spans="2:10" ht="15" outlineLevel="1">
      <c r="B11" s="110"/>
      <c r="C11" s="110" t="s">
        <v>77</v>
      </c>
      <c r="D11" s="103">
        <v>0.375</v>
      </c>
      <c r="E11" s="103">
        <v>0.375</v>
      </c>
      <c r="F11" s="103">
        <v>0.375</v>
      </c>
      <c r="G11" s="103">
        <v>0.625</v>
      </c>
      <c r="H11" s="103">
        <v>0.4</v>
      </c>
      <c r="I11" s="103">
        <v>0.4375</v>
      </c>
      <c r="J11" s="103">
        <v>0.333333333333333</v>
      </c>
    </row>
    <row r="12" spans="2:10" ht="15" outlineLevel="1">
      <c r="B12" s="110"/>
      <c r="C12" s="110" t="s">
        <v>78</v>
      </c>
      <c r="D12" s="102">
        <v>3</v>
      </c>
      <c r="E12" s="102">
        <v>3</v>
      </c>
      <c r="F12" s="102">
        <v>3</v>
      </c>
      <c r="G12" s="102">
        <v>5</v>
      </c>
      <c r="H12" s="102">
        <v>4</v>
      </c>
      <c r="I12" s="102">
        <v>3.5</v>
      </c>
      <c r="J12" s="102">
        <v>2</v>
      </c>
    </row>
    <row r="13" spans="2:10" ht="15" outlineLevel="1">
      <c r="B13" s="110"/>
      <c r="C13" s="110" t="s">
        <v>79</v>
      </c>
      <c r="D13" s="104">
        <v>40000</v>
      </c>
      <c r="E13" s="104">
        <v>40000</v>
      </c>
      <c r="F13" s="104">
        <v>40000</v>
      </c>
      <c r="G13" s="104">
        <v>30000</v>
      </c>
      <c r="H13" s="104">
        <v>32500</v>
      </c>
      <c r="I13" s="104">
        <v>28571.4285714286</v>
      </c>
      <c r="J13" s="104">
        <v>80000</v>
      </c>
    </row>
    <row r="14" spans="2:10" ht="15" outlineLevel="1">
      <c r="B14" s="110"/>
      <c r="C14" s="110" t="s">
        <v>80</v>
      </c>
      <c r="D14" s="104">
        <v>56666.6666666667</v>
      </c>
      <c r="E14" s="104">
        <v>43333.3333333333</v>
      </c>
      <c r="F14" s="104">
        <v>56666.6666666667</v>
      </c>
      <c r="G14" s="104">
        <v>40000</v>
      </c>
      <c r="H14" s="104">
        <v>45000</v>
      </c>
      <c r="I14" s="104">
        <v>42857.1428571429</v>
      </c>
      <c r="J14" s="104">
        <v>112500</v>
      </c>
    </row>
    <row r="15" spans="2:10" ht="15" outlineLevel="1">
      <c r="B15" s="110"/>
      <c r="C15" s="110" t="s">
        <v>81</v>
      </c>
      <c r="D15" s="105">
        <v>320000</v>
      </c>
      <c r="E15" s="105">
        <v>320000</v>
      </c>
      <c r="F15" s="105">
        <v>320000</v>
      </c>
      <c r="G15" s="105">
        <v>240000</v>
      </c>
      <c r="H15" s="105">
        <v>325000</v>
      </c>
      <c r="I15" s="105">
        <v>228571.428571429</v>
      </c>
      <c r="J15" s="105">
        <v>480000</v>
      </c>
    </row>
    <row r="16" spans="2:10" ht="15.75" outlineLevel="1" thickBot="1">
      <c r="B16" s="112"/>
      <c r="C16" s="112" t="s">
        <v>82</v>
      </c>
      <c r="D16" s="106">
        <v>453333.333333333</v>
      </c>
      <c r="E16" s="106">
        <v>346666.666666667</v>
      </c>
      <c r="F16" s="106">
        <v>453333.333333333</v>
      </c>
      <c r="G16" s="106">
        <v>320000</v>
      </c>
      <c r="H16" s="106">
        <v>450000</v>
      </c>
      <c r="I16" s="106">
        <v>342857.142857143</v>
      </c>
      <c r="J16" s="106">
        <v>675000</v>
      </c>
    </row>
    <row r="17" ht="14.25">
      <c r="B17" t="s">
        <v>96</v>
      </c>
    </row>
    <row r="18" ht="14.25">
      <c r="B18" t="s">
        <v>97</v>
      </c>
    </row>
    <row r="19" ht="14.25">
      <c r="B19" t="s">
        <v>98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5" sqref="E15"/>
    </sheetView>
  </sheetViews>
  <sheetFormatPr defaultColWidth="11.00390625" defaultRowHeight="14.25"/>
  <cols>
    <col min="1" max="1" width="20.125" style="9" bestFit="1" customWidth="1"/>
    <col min="2" max="2" width="14.875" style="9" bestFit="1" customWidth="1"/>
    <col min="3" max="3" width="9.00390625" style="9" bestFit="1" customWidth="1"/>
    <col min="4" max="4" width="18.25390625" style="9" bestFit="1" customWidth="1"/>
    <col min="5" max="5" width="15.125" style="9" bestFit="1" customWidth="1"/>
    <col min="6" max="16384" width="11.00390625" style="9" customWidth="1"/>
  </cols>
  <sheetData>
    <row r="1" spans="1:5" ht="20.25">
      <c r="A1" s="94" t="s">
        <v>28</v>
      </c>
      <c r="B1" s="94"/>
      <c r="C1" s="94"/>
      <c r="D1" s="94"/>
      <c r="E1" s="94"/>
    </row>
    <row r="3" spans="1:3" ht="15.75">
      <c r="A3" s="10" t="s">
        <v>0</v>
      </c>
      <c r="B3" s="18">
        <v>8</v>
      </c>
      <c r="C3" s="19">
        <f>Erlös_Stk/Erlös_Stk</f>
        <v>1</v>
      </c>
    </row>
    <row r="4" spans="1:3" ht="15.75">
      <c r="A4" s="10" t="s">
        <v>1</v>
      </c>
      <c r="B4" s="14">
        <v>5</v>
      </c>
      <c r="C4" s="16">
        <f>v.Ko_Stk/Erlös_Stk</f>
        <v>0.625</v>
      </c>
    </row>
    <row r="5" spans="1:3" ht="16.5" thickBot="1">
      <c r="A5" s="10" t="s">
        <v>2</v>
      </c>
      <c r="B5" s="15">
        <f>B3-B4</f>
        <v>3</v>
      </c>
      <c r="C5" s="17">
        <f>DB_Stk/Erlös_Stk</f>
        <v>0.375</v>
      </c>
    </row>
    <row r="6" ht="15.75" thickTop="1"/>
    <row r="7" spans="1:2" ht="15.75">
      <c r="A7" s="10" t="s">
        <v>3</v>
      </c>
      <c r="B7" s="20">
        <v>120000</v>
      </c>
    </row>
    <row r="9" spans="1:2" ht="15.75">
      <c r="A9" s="10" t="s">
        <v>4</v>
      </c>
      <c r="B9" s="20">
        <v>50000</v>
      </c>
    </row>
    <row r="12" spans="1:5" ht="16.5" thickBot="1">
      <c r="A12" s="11" t="s">
        <v>14</v>
      </c>
      <c r="B12" s="12">
        <f>Fixkosten/DB_Stk</f>
        <v>40000</v>
      </c>
      <c r="D12" s="11" t="s">
        <v>16</v>
      </c>
      <c r="E12" s="13">
        <f>Fixkosten/DB_Prozent</f>
        <v>320000</v>
      </c>
    </row>
    <row r="13" ht="15.75" thickTop="1"/>
    <row r="14" spans="1:5" ht="16.5" thickBot="1">
      <c r="A14" s="11" t="s">
        <v>15</v>
      </c>
      <c r="B14" s="12">
        <f>(Fixkosten+Erfolg)/DB_Stk</f>
        <v>56666.666666666664</v>
      </c>
      <c r="D14" s="11" t="s">
        <v>17</v>
      </c>
      <c r="E14" s="13">
        <f>(Fixkosten+Erfolg)/DB_Prozent</f>
        <v>453333.3333333333</v>
      </c>
    </row>
    <row r="15" ht="15.75" thickTop="1"/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3">
      <selection activeCell="D7" sqref="D7"/>
    </sheetView>
  </sheetViews>
  <sheetFormatPr defaultColWidth="11.00390625" defaultRowHeight="14.25"/>
  <cols>
    <col min="1" max="1" width="17.75390625" style="21" bestFit="1" customWidth="1"/>
    <col min="2" max="2" width="15.125" style="21" bestFit="1" customWidth="1"/>
    <col min="3" max="3" width="13.25390625" style="21" customWidth="1"/>
    <col min="4" max="4" width="13.50390625" style="21" bestFit="1" customWidth="1"/>
    <col min="5" max="5" width="11.125" style="21" customWidth="1"/>
    <col min="6" max="16384" width="18.50390625" style="21" customWidth="1"/>
  </cols>
  <sheetData>
    <row r="1" spans="1:5" ht="15.75">
      <c r="A1" s="95" t="s">
        <v>5</v>
      </c>
      <c r="B1" s="95"/>
      <c r="C1" s="95"/>
      <c r="D1" s="95"/>
      <c r="E1" s="95"/>
    </row>
    <row r="3" spans="2:3" ht="15.75">
      <c r="B3" s="95" t="s">
        <v>27</v>
      </c>
      <c r="C3" s="95"/>
    </row>
    <row r="4" spans="2:5" ht="15.75">
      <c r="B4" s="8" t="s">
        <v>9</v>
      </c>
      <c r="C4" s="22" t="s">
        <v>8</v>
      </c>
      <c r="D4" s="22" t="s">
        <v>24</v>
      </c>
      <c r="E4" s="8" t="s">
        <v>25</v>
      </c>
    </row>
    <row r="5" spans="1:5" ht="15.75">
      <c r="A5" s="23" t="s">
        <v>23</v>
      </c>
      <c r="B5" s="24">
        <v>10000</v>
      </c>
      <c r="C5" s="25">
        <v>15000</v>
      </c>
      <c r="D5" s="26"/>
      <c r="E5" s="27"/>
    </row>
    <row r="6" spans="1:5" ht="15.75">
      <c r="A6" s="11" t="s">
        <v>10</v>
      </c>
      <c r="B6" s="28">
        <v>8</v>
      </c>
      <c r="C6" s="29">
        <v>12</v>
      </c>
      <c r="D6" s="29">
        <f>(B6*$B$5+C6*$C$5)/SUM($B$5:$C$5)</f>
        <v>10.4</v>
      </c>
      <c r="E6" s="30">
        <f>D6/$D$6</f>
        <v>1</v>
      </c>
    </row>
    <row r="7" spans="1:5" ht="15.75">
      <c r="A7" s="11" t="s">
        <v>11</v>
      </c>
      <c r="B7" s="28">
        <v>5</v>
      </c>
      <c r="C7" s="29">
        <v>7</v>
      </c>
      <c r="D7" s="29">
        <f>(B7*$B$5+C7*$C$5)/SUM($B$5:$C$5)</f>
        <v>6.2</v>
      </c>
      <c r="E7" s="30">
        <f>D7/$D$6</f>
        <v>0.5961538461538461</v>
      </c>
    </row>
    <row r="8" spans="1:5" ht="16.5" thickBot="1">
      <c r="A8" s="11" t="s">
        <v>12</v>
      </c>
      <c r="B8" s="31">
        <f>B6-B7</f>
        <v>3</v>
      </c>
      <c r="C8" s="32">
        <f>C6-C7</f>
        <v>5</v>
      </c>
      <c r="D8" s="32">
        <f>(B8*$B$5+C8*$C$5)/SUM($B$5:$C$5)</f>
        <v>4.2</v>
      </c>
      <c r="E8" s="30">
        <f>D8/$D$6</f>
        <v>0.40384615384615385</v>
      </c>
    </row>
    <row r="9" ht="15.75" thickTop="1"/>
    <row r="10" spans="1:2" ht="15.75">
      <c r="A10" s="11" t="s">
        <v>3</v>
      </c>
      <c r="B10" s="28">
        <v>120000</v>
      </c>
    </row>
    <row r="12" spans="1:2" ht="15.75">
      <c r="A12" s="11" t="s">
        <v>13</v>
      </c>
      <c r="B12" s="28">
        <v>50000</v>
      </c>
    </row>
    <row r="15" spans="1:2" ht="16.5" thickBot="1">
      <c r="A15" s="11" t="s">
        <v>6</v>
      </c>
      <c r="B15" s="13">
        <f>B10/E8</f>
        <v>297142.85714285716</v>
      </c>
    </row>
    <row r="16" ht="15.75" thickTop="1"/>
    <row r="17" spans="1:2" ht="16.5" thickBot="1">
      <c r="A17" s="11" t="s">
        <v>7</v>
      </c>
      <c r="B17" s="13">
        <f>(B10+B12)/E8</f>
        <v>420952.38095238095</v>
      </c>
    </row>
    <row r="18" ht="15.75" thickTop="1"/>
  </sheetData>
  <mergeCells count="2">
    <mergeCell ref="B3:C3"/>
    <mergeCell ref="A1:E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B8" sqref="B8"/>
    </sheetView>
  </sheetViews>
  <sheetFormatPr defaultColWidth="11.00390625" defaultRowHeight="14.25"/>
  <cols>
    <col min="1" max="1" width="20.125" style="9" bestFit="1" customWidth="1"/>
    <col min="2" max="2" width="15.125" style="9" bestFit="1" customWidth="1"/>
    <col min="3" max="3" width="9.00390625" style="9" bestFit="1" customWidth="1"/>
    <col min="4" max="4" width="3.125" style="9" customWidth="1"/>
    <col min="5" max="5" width="11.00390625" style="9" customWidth="1"/>
    <col min="6" max="7" width="12.125" style="9" bestFit="1" customWidth="1"/>
    <col min="8" max="9" width="14.875" style="9" bestFit="1" customWidth="1"/>
    <col min="10" max="16384" width="11.00390625" style="9" customWidth="1"/>
  </cols>
  <sheetData>
    <row r="1" ht="15.75" thickBot="1"/>
    <row r="2" spans="1:9" ht="21" thickBot="1">
      <c r="A2" s="96" t="s">
        <v>22</v>
      </c>
      <c r="B2" s="97"/>
      <c r="C2" s="98"/>
      <c r="E2" s="96" t="s">
        <v>29</v>
      </c>
      <c r="F2" s="97"/>
      <c r="G2" s="97"/>
      <c r="H2" s="97"/>
      <c r="I2" s="98"/>
    </row>
    <row r="3" spans="1:9" ht="16.5" thickBot="1">
      <c r="A3" s="50" t="s">
        <v>0</v>
      </c>
      <c r="B3" s="43">
        <v>10</v>
      </c>
      <c r="C3" s="44">
        <f>Erlös_Stk/Erlös_Stk</f>
        <v>1</v>
      </c>
      <c r="E3" s="59" t="s">
        <v>18</v>
      </c>
      <c r="F3" s="60" t="s">
        <v>19</v>
      </c>
      <c r="G3" s="60" t="s">
        <v>20</v>
      </c>
      <c r="H3" s="60" t="s">
        <v>3</v>
      </c>
      <c r="I3" s="61" t="s">
        <v>21</v>
      </c>
    </row>
    <row r="4" spans="1:9" ht="15.75">
      <c r="A4" s="51" t="s">
        <v>1</v>
      </c>
      <c r="B4" s="40">
        <v>4</v>
      </c>
      <c r="C4" s="45">
        <f>v.Ko_Stk/Erlös_Stk</f>
        <v>0.625</v>
      </c>
      <c r="E4" s="53">
        <v>0</v>
      </c>
      <c r="F4" s="54">
        <f aca="true" t="shared" si="0" ref="F4:F15">E4*B$3</f>
        <v>0</v>
      </c>
      <c r="G4" s="54">
        <f aca="true" t="shared" si="1" ref="G4:G15">E4*B$4</f>
        <v>0</v>
      </c>
      <c r="H4" s="55">
        <f>$B$7</f>
        <v>150000</v>
      </c>
      <c r="I4" s="56">
        <f>G4+H4</f>
        <v>150000</v>
      </c>
    </row>
    <row r="5" spans="1:9" ht="16.5" thickBot="1">
      <c r="A5" s="51" t="s">
        <v>2</v>
      </c>
      <c r="B5" s="33">
        <f>B3-B4</f>
        <v>6</v>
      </c>
      <c r="C5" s="46">
        <f>DB_Stk/Erlös_Stk</f>
        <v>0.375</v>
      </c>
      <c r="E5" s="38">
        <v>5000</v>
      </c>
      <c r="F5" s="34">
        <f>E5*B$3</f>
        <v>50000</v>
      </c>
      <c r="G5" s="34">
        <f>E5*B$4</f>
        <v>20000</v>
      </c>
      <c r="H5" s="35">
        <f>$B$7</f>
        <v>150000</v>
      </c>
      <c r="I5" s="57">
        <f>G5+H5</f>
        <v>170000</v>
      </c>
    </row>
    <row r="6" spans="1:9" ht="16.5" thickTop="1">
      <c r="A6" s="51"/>
      <c r="B6" s="41"/>
      <c r="C6" s="47"/>
      <c r="E6" s="38">
        <v>10000</v>
      </c>
      <c r="F6" s="34">
        <f t="shared" si="0"/>
        <v>100000</v>
      </c>
      <c r="G6" s="34">
        <f t="shared" si="1"/>
        <v>40000</v>
      </c>
      <c r="H6" s="35">
        <f>$B$7</f>
        <v>150000</v>
      </c>
      <c r="I6" s="57">
        <f aca="true" t="shared" si="2" ref="I5:I15">G6+H6</f>
        <v>190000</v>
      </c>
    </row>
    <row r="7" spans="1:9" ht="15.75">
      <c r="A7" s="51" t="s">
        <v>3</v>
      </c>
      <c r="B7" s="40">
        <v>150000</v>
      </c>
      <c r="C7" s="47"/>
      <c r="E7" s="38">
        <v>15000</v>
      </c>
      <c r="F7" s="34">
        <f t="shared" si="0"/>
        <v>150000</v>
      </c>
      <c r="G7" s="34">
        <f t="shared" si="1"/>
        <v>60000</v>
      </c>
      <c r="H7" s="35">
        <f aca="true" t="shared" si="3" ref="H7:H15">$B$7</f>
        <v>150000</v>
      </c>
      <c r="I7" s="57">
        <f t="shared" si="2"/>
        <v>210000</v>
      </c>
    </row>
    <row r="8" spans="1:9" ht="15.75">
      <c r="A8" s="51"/>
      <c r="B8" s="41"/>
      <c r="C8" s="47"/>
      <c r="E8" s="38">
        <v>20000</v>
      </c>
      <c r="F8" s="34">
        <f t="shared" si="0"/>
        <v>200000</v>
      </c>
      <c r="G8" s="34">
        <f t="shared" si="1"/>
        <v>80000</v>
      </c>
      <c r="H8" s="35">
        <f t="shared" si="3"/>
        <v>150000</v>
      </c>
      <c r="I8" s="57">
        <f t="shared" si="2"/>
        <v>230000</v>
      </c>
    </row>
    <row r="9" spans="1:9" ht="16.5" thickBot="1">
      <c r="A9" s="52" t="s">
        <v>4</v>
      </c>
      <c r="B9" s="48">
        <v>50000</v>
      </c>
      <c r="C9" s="49"/>
      <c r="E9" s="38">
        <v>25000</v>
      </c>
      <c r="F9" s="34">
        <f t="shared" si="0"/>
        <v>250000</v>
      </c>
      <c r="G9" s="34">
        <f t="shared" si="1"/>
        <v>100000</v>
      </c>
      <c r="H9" s="35">
        <f t="shared" si="3"/>
        <v>150000</v>
      </c>
      <c r="I9" s="57">
        <f t="shared" si="2"/>
        <v>250000</v>
      </c>
    </row>
    <row r="10" spans="5:9" ht="15">
      <c r="E10" s="38">
        <v>30000</v>
      </c>
      <c r="F10" s="34">
        <f t="shared" si="0"/>
        <v>300000</v>
      </c>
      <c r="G10" s="34">
        <f t="shared" si="1"/>
        <v>120000</v>
      </c>
      <c r="H10" s="35">
        <f t="shared" si="3"/>
        <v>150000</v>
      </c>
      <c r="I10" s="57">
        <f t="shared" si="2"/>
        <v>270000</v>
      </c>
    </row>
    <row r="11" spans="5:9" ht="15">
      <c r="E11" s="38">
        <v>35000</v>
      </c>
      <c r="F11" s="34">
        <f t="shared" si="0"/>
        <v>350000</v>
      </c>
      <c r="G11" s="34">
        <f t="shared" si="1"/>
        <v>140000</v>
      </c>
      <c r="H11" s="35">
        <f t="shared" si="3"/>
        <v>150000</v>
      </c>
      <c r="I11" s="57">
        <f t="shared" si="2"/>
        <v>290000</v>
      </c>
    </row>
    <row r="12" spans="1:9" ht="16.5" thickBot="1">
      <c r="A12" s="11" t="s">
        <v>14</v>
      </c>
      <c r="B12" s="12">
        <f>B7/B5</f>
        <v>25000</v>
      </c>
      <c r="E12" s="38">
        <v>40000</v>
      </c>
      <c r="F12" s="34">
        <f t="shared" si="0"/>
        <v>400000</v>
      </c>
      <c r="G12" s="34">
        <f t="shared" si="1"/>
        <v>160000</v>
      </c>
      <c r="H12" s="35">
        <f t="shared" si="3"/>
        <v>150000</v>
      </c>
      <c r="I12" s="57">
        <f t="shared" si="2"/>
        <v>310000</v>
      </c>
    </row>
    <row r="13" spans="5:9" ht="15.75" thickTop="1">
      <c r="E13" s="38">
        <v>45000</v>
      </c>
      <c r="F13" s="34">
        <f t="shared" si="0"/>
        <v>450000</v>
      </c>
      <c r="G13" s="34">
        <f t="shared" si="1"/>
        <v>180000</v>
      </c>
      <c r="H13" s="35">
        <f t="shared" si="3"/>
        <v>150000</v>
      </c>
      <c r="I13" s="57">
        <f t="shared" si="2"/>
        <v>330000</v>
      </c>
    </row>
    <row r="14" spans="1:9" ht="16.5" thickBot="1">
      <c r="A14" s="11" t="s">
        <v>15</v>
      </c>
      <c r="B14" s="12">
        <f>(B7+B9)/B5</f>
        <v>33333.333333333336</v>
      </c>
      <c r="E14" s="38">
        <v>50000</v>
      </c>
      <c r="F14" s="34">
        <f t="shared" si="0"/>
        <v>500000</v>
      </c>
      <c r="G14" s="34">
        <f t="shared" si="1"/>
        <v>200000</v>
      </c>
      <c r="H14" s="35">
        <f t="shared" si="3"/>
        <v>150000</v>
      </c>
      <c r="I14" s="57">
        <f t="shared" si="2"/>
        <v>350000</v>
      </c>
    </row>
    <row r="15" spans="5:9" ht="16.5" thickBot="1" thickTop="1">
      <c r="E15" s="39">
        <v>55000</v>
      </c>
      <c r="F15" s="36">
        <f t="shared" si="0"/>
        <v>550000</v>
      </c>
      <c r="G15" s="36">
        <f t="shared" si="1"/>
        <v>220000</v>
      </c>
      <c r="H15" s="37">
        <f t="shared" si="3"/>
        <v>150000</v>
      </c>
      <c r="I15" s="58">
        <f t="shared" si="2"/>
        <v>370000</v>
      </c>
    </row>
    <row r="16" spans="1:2" ht="16.5" thickBot="1">
      <c r="A16" s="11" t="s">
        <v>16</v>
      </c>
      <c r="B16" s="13">
        <f>B7/C5</f>
        <v>400000</v>
      </c>
    </row>
    <row r="17" ht="15.75" thickTop="1"/>
    <row r="18" spans="1:2" ht="16.5" thickBot="1">
      <c r="A18" s="11" t="s">
        <v>17</v>
      </c>
      <c r="B18" s="13">
        <f>(B12+B14)/C5</f>
        <v>155555.55555555556</v>
      </c>
    </row>
    <row r="19" ht="15.75" thickTop="1"/>
  </sheetData>
  <mergeCells count="2">
    <mergeCell ref="A2:C2"/>
    <mergeCell ref="E2:I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17" sqref="F17"/>
    </sheetView>
  </sheetViews>
  <sheetFormatPr defaultColWidth="11.00390625" defaultRowHeight="14.25"/>
  <cols>
    <col min="1" max="1" width="17.50390625" style="0" bestFit="1" customWidth="1"/>
    <col min="2" max="2" width="13.50390625" style="0" bestFit="1" customWidth="1"/>
    <col min="5" max="5" width="12.50390625" style="0" customWidth="1"/>
    <col min="6" max="6" width="15.875" style="0" bestFit="1" customWidth="1"/>
  </cols>
  <sheetData>
    <row r="1" spans="1:6" ht="20.25">
      <c r="A1" s="94" t="s">
        <v>47</v>
      </c>
      <c r="B1" s="94"/>
      <c r="C1" s="94"/>
      <c r="D1" s="94"/>
      <c r="E1" s="94"/>
      <c r="F1" s="94"/>
    </row>
    <row r="2" spans="1:6" ht="20.25">
      <c r="A2" s="7"/>
      <c r="B2" s="7"/>
      <c r="C2" s="7"/>
      <c r="D2" s="7"/>
      <c r="E2" s="7"/>
      <c r="F2" s="7"/>
    </row>
    <row r="3" spans="1:6" ht="15">
      <c r="A3" s="99" t="s">
        <v>30</v>
      </c>
      <c r="B3" s="99"/>
      <c r="E3" s="99" t="s">
        <v>39</v>
      </c>
      <c r="F3" s="99"/>
    </row>
    <row r="4" spans="1:6" ht="15">
      <c r="A4" s="1" t="s">
        <v>31</v>
      </c>
      <c r="B4" s="3">
        <v>1875</v>
      </c>
      <c r="E4" t="s">
        <v>36</v>
      </c>
      <c r="F4" s="3">
        <f>B13*B6</f>
        <v>2000000</v>
      </c>
    </row>
    <row r="5" spans="1:6" ht="15">
      <c r="A5" s="1" t="s">
        <v>34</v>
      </c>
      <c r="B5" s="5">
        <v>0.25</v>
      </c>
      <c r="E5" t="s">
        <v>40</v>
      </c>
      <c r="F5" s="3">
        <f>-(B4*B6)</f>
        <v>-1500000</v>
      </c>
    </row>
    <row r="6" spans="1:6" ht="15.75" thickBot="1">
      <c r="A6" s="1" t="s">
        <v>32</v>
      </c>
      <c r="B6" s="2">
        <v>800</v>
      </c>
      <c r="E6" t="s">
        <v>41</v>
      </c>
      <c r="F6" s="4">
        <f>SUM(F4:F5)</f>
        <v>500000</v>
      </c>
    </row>
    <row r="7" spans="1:2" ht="15.75" thickTop="1">
      <c r="A7" s="1" t="s">
        <v>33</v>
      </c>
      <c r="B7" s="2">
        <v>850</v>
      </c>
    </row>
    <row r="8" spans="1:6" ht="15">
      <c r="A8" s="1" t="s">
        <v>3</v>
      </c>
      <c r="B8" s="3">
        <v>475000</v>
      </c>
      <c r="E8" t="s">
        <v>41</v>
      </c>
      <c r="F8" s="3">
        <f>F6</f>
        <v>500000</v>
      </c>
    </row>
    <row r="9" spans="5:6" ht="14.25">
      <c r="E9" t="s">
        <v>3</v>
      </c>
      <c r="F9" s="3">
        <f>-B8</f>
        <v>-475000</v>
      </c>
    </row>
    <row r="10" spans="1:6" ht="15.75" thickBot="1">
      <c r="A10" s="99" t="s">
        <v>35</v>
      </c>
      <c r="B10" s="99"/>
      <c r="E10" s="6" t="s">
        <v>42</v>
      </c>
      <c r="F10" s="65">
        <f>SUM(F8:F9)</f>
        <v>25000</v>
      </c>
    </row>
    <row r="11" spans="1:3" ht="15" thickTop="1">
      <c r="A11" t="s">
        <v>31</v>
      </c>
      <c r="B11" s="3">
        <f>B4</f>
        <v>1875</v>
      </c>
      <c r="C11" s="5">
        <f>100%-C12</f>
        <v>0.75</v>
      </c>
    </row>
    <row r="12" spans="1:3" ht="14.25">
      <c r="A12" s="6" t="s">
        <v>37</v>
      </c>
      <c r="B12" s="62">
        <f>B11/C11*C12</f>
        <v>625</v>
      </c>
      <c r="C12" s="63">
        <f>B5</f>
        <v>0.25</v>
      </c>
    </row>
    <row r="13" spans="1:3" ht="15" thickBot="1">
      <c r="A13" t="s">
        <v>36</v>
      </c>
      <c r="B13" s="4">
        <f>SUM(B11:B12)</f>
        <v>2500</v>
      </c>
      <c r="C13" s="5">
        <f>SUM(C11:C12)</f>
        <v>1</v>
      </c>
    </row>
    <row r="14" ht="15" thickTop="1"/>
    <row r="15" spans="1:3" ht="15">
      <c r="A15" s="6" t="s">
        <v>38</v>
      </c>
      <c r="B15" s="64">
        <f>B7-B6</f>
        <v>50</v>
      </c>
      <c r="C15" s="1" t="str">
        <f>IF(B15&gt;0,"Lagerzunahme","Lagerabnahme")</f>
        <v>Lagerzunahme</v>
      </c>
    </row>
    <row r="18" spans="1:6" ht="15">
      <c r="A18" s="99" t="s">
        <v>30</v>
      </c>
      <c r="B18" s="99"/>
      <c r="E18" s="99" t="s">
        <v>39</v>
      </c>
      <c r="F18" s="99"/>
    </row>
    <row r="19" spans="1:6" ht="15">
      <c r="A19" s="1" t="s">
        <v>31</v>
      </c>
      <c r="B19" s="3">
        <v>1875</v>
      </c>
      <c r="E19" t="s">
        <v>36</v>
      </c>
      <c r="F19" s="3">
        <f>B13*B21*(1+B26)*(1+B27)</f>
        <v>2310000</v>
      </c>
    </row>
    <row r="20" spans="1:6" ht="15">
      <c r="A20" s="1" t="s">
        <v>34</v>
      </c>
      <c r="B20" s="5">
        <v>0.25</v>
      </c>
      <c r="E20" t="s">
        <v>40</v>
      </c>
      <c r="F20" s="3">
        <f>-(B19*B21)*(1+B26)</f>
        <v>-1575000</v>
      </c>
    </row>
    <row r="21" spans="1:6" ht="15.75" thickBot="1">
      <c r="A21" s="1" t="s">
        <v>32</v>
      </c>
      <c r="B21" s="2">
        <v>800</v>
      </c>
      <c r="E21" t="s">
        <v>41</v>
      </c>
      <c r="F21" s="4">
        <f>SUM(F19:F20)</f>
        <v>735000</v>
      </c>
    </row>
    <row r="22" spans="1:2" ht="15.75" thickTop="1">
      <c r="A22" s="1" t="s">
        <v>33</v>
      </c>
      <c r="B22" s="2">
        <v>850</v>
      </c>
    </row>
    <row r="23" spans="1:6" ht="15">
      <c r="A23" s="1" t="s">
        <v>3</v>
      </c>
      <c r="B23" s="3">
        <v>475000</v>
      </c>
      <c r="E23" t="s">
        <v>41</v>
      </c>
      <c r="F23" s="3">
        <f>F21</f>
        <v>735000</v>
      </c>
    </row>
    <row r="24" spans="5:6" ht="14.25">
      <c r="E24" t="s">
        <v>3</v>
      </c>
      <c r="F24" s="3">
        <f>-(B23+B28)</f>
        <v>-550000</v>
      </c>
    </row>
    <row r="25" spans="1:6" ht="15.75" thickBot="1">
      <c r="A25" s="99" t="s">
        <v>43</v>
      </c>
      <c r="B25" s="99"/>
      <c r="E25" s="6" t="s">
        <v>42</v>
      </c>
      <c r="F25" s="65">
        <f>SUM(F23:F24)</f>
        <v>185000</v>
      </c>
    </row>
    <row r="26" spans="1:2" ht="15" thickTop="1">
      <c r="A26" s="66" t="s">
        <v>44</v>
      </c>
      <c r="B26" s="5">
        <v>0.05</v>
      </c>
    </row>
    <row r="27" spans="1:2" ht="14.25">
      <c r="A27" s="66" t="s">
        <v>45</v>
      </c>
      <c r="B27" s="5">
        <v>0.1</v>
      </c>
    </row>
    <row r="28" spans="1:2" ht="14.25">
      <c r="A28" s="66" t="s">
        <v>46</v>
      </c>
      <c r="B28" s="3">
        <v>75000</v>
      </c>
    </row>
  </sheetData>
  <mergeCells count="7">
    <mergeCell ref="A25:B25"/>
    <mergeCell ref="A1:F1"/>
    <mergeCell ref="E3:F3"/>
    <mergeCell ref="A3:B3"/>
    <mergeCell ref="A10:B10"/>
    <mergeCell ref="A18:B18"/>
    <mergeCell ref="E18:F18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56">
      <selection activeCell="A62" sqref="A62"/>
    </sheetView>
  </sheetViews>
  <sheetFormatPr defaultColWidth="11.00390625" defaultRowHeight="14.25"/>
  <cols>
    <col min="1" max="1" width="21.125" style="0" customWidth="1"/>
    <col min="2" max="2" width="11.625" style="0" bestFit="1" customWidth="1"/>
    <col min="3" max="3" width="13.00390625" style="0" bestFit="1" customWidth="1"/>
    <col min="4" max="4" width="11.625" style="0" bestFit="1" customWidth="1"/>
    <col min="5" max="5" width="13.00390625" style="0" bestFit="1" customWidth="1"/>
  </cols>
  <sheetData>
    <row r="1" spans="1:5" ht="20.25">
      <c r="A1" s="94" t="s">
        <v>72</v>
      </c>
      <c r="B1" s="94"/>
      <c r="C1" s="94"/>
      <c r="D1" s="94"/>
      <c r="E1" s="94"/>
    </row>
    <row r="2" ht="15" thickBot="1"/>
    <row r="3" spans="1:5" ht="18.75" thickBot="1">
      <c r="A3" s="100" t="s">
        <v>48</v>
      </c>
      <c r="B3" s="71"/>
      <c r="C3" s="71"/>
      <c r="D3" s="71"/>
      <c r="E3" s="42"/>
    </row>
    <row r="4" spans="1:5" ht="15">
      <c r="A4" s="68"/>
      <c r="B4" s="69" t="s">
        <v>26</v>
      </c>
      <c r="C4" s="69" t="s">
        <v>54</v>
      </c>
      <c r="D4" s="69" t="s">
        <v>55</v>
      </c>
      <c r="E4" s="70" t="s">
        <v>56</v>
      </c>
    </row>
    <row r="5" spans="1:5" ht="15">
      <c r="A5" s="72" t="s">
        <v>49</v>
      </c>
      <c r="B5" s="73">
        <v>900</v>
      </c>
      <c r="C5" s="73">
        <v>1000</v>
      </c>
      <c r="D5" s="73">
        <v>100</v>
      </c>
      <c r="E5" s="74"/>
    </row>
    <row r="6" spans="1:5" ht="15">
      <c r="A6" s="72" t="s">
        <v>50</v>
      </c>
      <c r="B6" s="75">
        <v>600</v>
      </c>
      <c r="C6" s="75">
        <v>1200</v>
      </c>
      <c r="D6" s="75">
        <v>2400</v>
      </c>
      <c r="E6" s="74"/>
    </row>
    <row r="7" spans="1:5" ht="15">
      <c r="A7" s="72" t="s">
        <v>51</v>
      </c>
      <c r="B7" s="75">
        <v>30</v>
      </c>
      <c r="C7" s="75">
        <v>60</v>
      </c>
      <c r="D7" s="75">
        <v>120</v>
      </c>
      <c r="E7" s="74"/>
    </row>
    <row r="8" spans="1:5" ht="15">
      <c r="A8" s="72" t="s">
        <v>52</v>
      </c>
      <c r="B8" s="75">
        <v>1000</v>
      </c>
      <c r="C8" s="75">
        <v>2000</v>
      </c>
      <c r="D8" s="75">
        <v>4000</v>
      </c>
      <c r="E8" s="74"/>
    </row>
    <row r="9" spans="1:5" ht="15">
      <c r="A9" s="72" t="s">
        <v>53</v>
      </c>
      <c r="B9" s="76"/>
      <c r="C9" s="76"/>
      <c r="D9" s="76"/>
      <c r="E9" s="77">
        <v>1200000</v>
      </c>
    </row>
    <row r="10" spans="1:5" ht="15.75" thickBot="1">
      <c r="A10" s="78" t="s">
        <v>57</v>
      </c>
      <c r="B10" s="79">
        <f>B8-(B6+B7)</f>
        <v>370</v>
      </c>
      <c r="C10" s="79">
        <f>C8-(C6+C7)</f>
        <v>740</v>
      </c>
      <c r="D10" s="79">
        <f>D8-(D6+D7)</f>
        <v>1480</v>
      </c>
      <c r="E10" s="80"/>
    </row>
    <row r="11" ht="15" thickBot="1"/>
    <row r="12" spans="1:5" ht="18.75" thickBot="1">
      <c r="A12" s="100" t="s">
        <v>58</v>
      </c>
      <c r="B12" s="71"/>
      <c r="C12" s="71"/>
      <c r="D12" s="71"/>
      <c r="E12" s="42"/>
    </row>
    <row r="13" spans="1:5" ht="15">
      <c r="A13" s="72" t="s">
        <v>19</v>
      </c>
      <c r="B13" s="75">
        <f>B8*B5</f>
        <v>900000</v>
      </c>
      <c r="C13" s="75">
        <f>C8*C5</f>
        <v>2000000</v>
      </c>
      <c r="D13" s="75">
        <f>D8*D5</f>
        <v>400000</v>
      </c>
      <c r="E13" s="77">
        <f>SUM(B13:D13)</f>
        <v>3300000</v>
      </c>
    </row>
    <row r="14" spans="1:5" ht="15">
      <c r="A14" s="72" t="s">
        <v>59</v>
      </c>
      <c r="B14" s="75">
        <f>-((B6+B7)*B5)</f>
        <v>-567000</v>
      </c>
      <c r="C14" s="75">
        <f>-((C6+C7)*C5)</f>
        <v>-1260000</v>
      </c>
      <c r="D14" s="75">
        <f>-((D6+D7)*D5)</f>
        <v>-252000</v>
      </c>
      <c r="E14" s="77">
        <f>SUM(B14:D14)</f>
        <v>-2079000</v>
      </c>
    </row>
    <row r="15" spans="1:5" ht="15.75" thickBot="1">
      <c r="A15" s="72" t="s">
        <v>57</v>
      </c>
      <c r="B15" s="67">
        <f>SUM(B13:B14)</f>
        <v>333000</v>
      </c>
      <c r="C15" s="67">
        <f>SUM(C13:C14)</f>
        <v>740000</v>
      </c>
      <c r="D15" s="67">
        <f>SUM(D13:D14)</f>
        <v>148000</v>
      </c>
      <c r="E15" s="81">
        <f>SUM(B15:D15)</f>
        <v>1221000</v>
      </c>
    </row>
    <row r="16" spans="1:5" ht="15" thickTop="1">
      <c r="A16" s="68"/>
      <c r="B16" s="76"/>
      <c r="C16" s="76"/>
      <c r="D16" s="76"/>
      <c r="E16" s="74"/>
    </row>
    <row r="17" spans="1:5" ht="15">
      <c r="A17" s="72" t="s">
        <v>67</v>
      </c>
      <c r="B17" s="76"/>
      <c r="C17" s="76"/>
      <c r="D17" s="76"/>
      <c r="E17" s="77">
        <f>E15</f>
        <v>1221000</v>
      </c>
    </row>
    <row r="18" spans="1:5" ht="15">
      <c r="A18" s="72" t="s">
        <v>60</v>
      </c>
      <c r="B18" s="76"/>
      <c r="C18" s="76"/>
      <c r="D18" s="76"/>
      <c r="E18" s="77">
        <f>-E9</f>
        <v>-1200000</v>
      </c>
    </row>
    <row r="19" spans="1:5" ht="15.75" thickBot="1">
      <c r="A19" s="72" t="s">
        <v>61</v>
      </c>
      <c r="B19" s="76"/>
      <c r="C19" s="76"/>
      <c r="D19" s="76"/>
      <c r="E19" s="81">
        <f>SUM(E17:E18)</f>
        <v>21000</v>
      </c>
    </row>
    <row r="20" spans="1:5" ht="16.5" thickBot="1" thickTop="1">
      <c r="A20" s="78"/>
      <c r="B20" s="82"/>
      <c r="C20" s="82"/>
      <c r="D20" s="82"/>
      <c r="E20" s="83"/>
    </row>
    <row r="21" ht="15" thickBot="1"/>
    <row r="22" spans="1:5" ht="18.75" thickBot="1">
      <c r="A22" s="100" t="s">
        <v>66</v>
      </c>
      <c r="B22" s="71"/>
      <c r="C22" s="71"/>
      <c r="D22" s="71"/>
      <c r="E22" s="42"/>
    </row>
    <row r="23" spans="1:5" ht="15">
      <c r="A23" s="68"/>
      <c r="B23" s="69" t="s">
        <v>26</v>
      </c>
      <c r="C23" s="69" t="s">
        <v>54</v>
      </c>
      <c r="D23" s="69" t="s">
        <v>55</v>
      </c>
      <c r="E23" s="70" t="s">
        <v>56</v>
      </c>
    </row>
    <row r="24" spans="1:5" ht="15">
      <c r="A24" s="72" t="s">
        <v>49</v>
      </c>
      <c r="B24" s="73">
        <v>400</v>
      </c>
      <c r="C24" s="73">
        <v>450</v>
      </c>
      <c r="D24" s="73">
        <v>60</v>
      </c>
      <c r="E24" s="74"/>
    </row>
    <row r="25" spans="1:5" ht="15">
      <c r="A25" s="72" t="s">
        <v>50</v>
      </c>
      <c r="B25" s="75">
        <v>610</v>
      </c>
      <c r="C25" s="75">
        <v>1180</v>
      </c>
      <c r="D25" s="75">
        <v>2400</v>
      </c>
      <c r="E25" s="74"/>
    </row>
    <row r="26" spans="1:5" ht="15">
      <c r="A26" s="72" t="s">
        <v>51</v>
      </c>
      <c r="B26" s="75">
        <v>28</v>
      </c>
      <c r="C26" s="75">
        <v>62</v>
      </c>
      <c r="D26" s="75">
        <v>125</v>
      </c>
      <c r="E26" s="74"/>
    </row>
    <row r="27" spans="1:5" ht="15">
      <c r="A27" s="72" t="s">
        <v>52</v>
      </c>
      <c r="B27" s="75">
        <v>980</v>
      </c>
      <c r="C27" s="75">
        <v>1990</v>
      </c>
      <c r="D27" s="75">
        <v>3990</v>
      </c>
      <c r="E27" s="74"/>
    </row>
    <row r="28" spans="1:5" ht="15">
      <c r="A28" s="72" t="s">
        <v>53</v>
      </c>
      <c r="B28" s="76"/>
      <c r="C28" s="76"/>
      <c r="D28" s="76"/>
      <c r="E28" s="77"/>
    </row>
    <row r="29" spans="1:5" ht="15">
      <c r="A29" s="72" t="s">
        <v>63</v>
      </c>
      <c r="B29" s="84">
        <f>B27-(B6+B7)</f>
        <v>350</v>
      </c>
      <c r="C29" s="84">
        <f>C27-(C6+C7)</f>
        <v>730</v>
      </c>
      <c r="D29" s="84">
        <f>D27-(D6+D7)</f>
        <v>1470</v>
      </c>
      <c r="E29" s="74"/>
    </row>
    <row r="30" spans="1:5" ht="15">
      <c r="A30" s="72" t="s">
        <v>64</v>
      </c>
      <c r="B30" s="75">
        <f>B29*B24</f>
        <v>140000</v>
      </c>
      <c r="C30" s="75">
        <f>C29*C24</f>
        <v>328500</v>
      </c>
      <c r="D30" s="75">
        <f>D29*D24</f>
        <v>88200</v>
      </c>
      <c r="E30" s="85">
        <f>SUM(B30:D30)</f>
        <v>556700</v>
      </c>
    </row>
    <row r="31" spans="1:5" ht="15">
      <c r="A31" s="72" t="s">
        <v>65</v>
      </c>
      <c r="B31" s="76"/>
      <c r="C31" s="76"/>
      <c r="D31" s="76"/>
      <c r="E31" s="86">
        <f>E30/$E$9</f>
        <v>0.46391666666666664</v>
      </c>
    </row>
    <row r="32" spans="1:5" ht="15" thickBot="1">
      <c r="A32" s="87"/>
      <c r="B32" s="82"/>
      <c r="C32" s="82"/>
      <c r="D32" s="82"/>
      <c r="E32" s="80"/>
    </row>
    <row r="33" spans="1:5" ht="15" thickBot="1">
      <c r="A33" s="76"/>
      <c r="B33" s="76"/>
      <c r="C33" s="76"/>
      <c r="D33" s="76"/>
      <c r="E33" s="76"/>
    </row>
    <row r="34" spans="1:5" ht="18.75" thickBot="1">
      <c r="A34" s="100" t="s">
        <v>62</v>
      </c>
      <c r="B34" s="71"/>
      <c r="C34" s="71"/>
      <c r="D34" s="71"/>
      <c r="E34" s="42"/>
    </row>
    <row r="35" spans="1:5" ht="15">
      <c r="A35" s="68"/>
      <c r="B35" s="69" t="s">
        <v>26</v>
      </c>
      <c r="C35" s="69" t="s">
        <v>54</v>
      </c>
      <c r="D35" s="69" t="s">
        <v>55</v>
      </c>
      <c r="E35" s="70" t="s">
        <v>56</v>
      </c>
    </row>
    <row r="36" spans="1:5" ht="15">
      <c r="A36" s="72" t="s">
        <v>49</v>
      </c>
      <c r="B36" s="73">
        <v>400</v>
      </c>
      <c r="C36" s="73">
        <v>450</v>
      </c>
      <c r="D36" s="73">
        <v>60</v>
      </c>
      <c r="E36" s="74"/>
    </row>
    <row r="37" spans="1:5" ht="15">
      <c r="A37" s="72" t="s">
        <v>50</v>
      </c>
      <c r="B37" s="75">
        <v>610</v>
      </c>
      <c r="C37" s="75">
        <v>1180</v>
      </c>
      <c r="D37" s="75">
        <v>2400</v>
      </c>
      <c r="E37" s="74"/>
    </row>
    <row r="38" spans="1:5" ht="15">
      <c r="A38" s="72" t="s">
        <v>51</v>
      </c>
      <c r="B38" s="75">
        <v>28</v>
      </c>
      <c r="C38" s="75">
        <v>62</v>
      </c>
      <c r="D38" s="75">
        <v>125</v>
      </c>
      <c r="E38" s="74"/>
    </row>
    <row r="39" spans="1:5" ht="15">
      <c r="A39" s="72" t="s">
        <v>52</v>
      </c>
      <c r="B39" s="75">
        <v>980</v>
      </c>
      <c r="C39" s="75">
        <v>1990</v>
      </c>
      <c r="D39" s="75">
        <v>3990</v>
      </c>
      <c r="E39" s="74"/>
    </row>
    <row r="40" spans="1:5" ht="15">
      <c r="A40" s="72" t="s">
        <v>53</v>
      </c>
      <c r="B40" s="76"/>
      <c r="C40" s="76"/>
      <c r="D40" s="76"/>
      <c r="E40" s="77"/>
    </row>
    <row r="41" spans="1:5" ht="15">
      <c r="A41" s="72" t="s">
        <v>63</v>
      </c>
      <c r="B41" s="84">
        <f>B39-(B37+B38)</f>
        <v>342</v>
      </c>
      <c r="C41" s="84">
        <f>C39-(C37+C38)</f>
        <v>748</v>
      </c>
      <c r="D41" s="84">
        <f>D39-(D37+D38)</f>
        <v>1465</v>
      </c>
      <c r="E41" s="74"/>
    </row>
    <row r="42" spans="1:5" ht="15">
      <c r="A42" s="72" t="s">
        <v>64</v>
      </c>
      <c r="B42" s="75">
        <f>B41*B36</f>
        <v>136800</v>
      </c>
      <c r="C42" s="75">
        <f>C41*C36</f>
        <v>336600</v>
      </c>
      <c r="D42" s="75">
        <f>D41*D36</f>
        <v>87900</v>
      </c>
      <c r="E42" s="85">
        <f>SUM(B42:D42)</f>
        <v>561300</v>
      </c>
    </row>
    <row r="43" spans="1:5" ht="15">
      <c r="A43" s="72" t="s">
        <v>65</v>
      </c>
      <c r="B43" s="76"/>
      <c r="C43" s="76"/>
      <c r="D43" s="76"/>
      <c r="E43" s="86">
        <f>E42/$E$9</f>
        <v>0.46775</v>
      </c>
    </row>
    <row r="44" spans="1:5" ht="15" thickBot="1">
      <c r="A44" s="87"/>
      <c r="B44" s="82"/>
      <c r="C44" s="82"/>
      <c r="D44" s="82"/>
      <c r="E44" s="80"/>
    </row>
    <row r="45" ht="15" thickBot="1"/>
    <row r="46" spans="1:5" ht="18.75" thickBot="1">
      <c r="A46" s="100" t="s">
        <v>68</v>
      </c>
      <c r="B46" s="71"/>
      <c r="C46" s="71"/>
      <c r="D46" s="71"/>
      <c r="E46" s="42"/>
    </row>
    <row r="47" spans="1:5" ht="15">
      <c r="A47" s="68"/>
      <c r="B47" s="69" t="s">
        <v>26</v>
      </c>
      <c r="C47" s="69" t="s">
        <v>54</v>
      </c>
      <c r="D47" s="69" t="s">
        <v>55</v>
      </c>
      <c r="E47" s="70" t="s">
        <v>56</v>
      </c>
    </row>
    <row r="48" spans="1:5" ht="15">
      <c r="A48" s="72" t="s">
        <v>49</v>
      </c>
      <c r="B48" s="73">
        <v>800</v>
      </c>
      <c r="C48" s="73">
        <v>950</v>
      </c>
      <c r="D48" s="73">
        <v>120</v>
      </c>
      <c r="E48" s="74"/>
    </row>
    <row r="49" spans="1:5" ht="15">
      <c r="A49" s="72" t="s">
        <v>50</v>
      </c>
      <c r="B49" s="75">
        <v>620</v>
      </c>
      <c r="C49" s="75">
        <v>1190</v>
      </c>
      <c r="D49" s="75">
        <v>2400</v>
      </c>
      <c r="E49" s="74"/>
    </row>
    <row r="50" spans="1:5" ht="15">
      <c r="A50" s="72" t="s">
        <v>51</v>
      </c>
      <c r="B50" s="75">
        <v>29</v>
      </c>
      <c r="C50" s="75">
        <v>61</v>
      </c>
      <c r="D50" s="75">
        <v>125</v>
      </c>
      <c r="E50" s="74"/>
    </row>
    <row r="51" spans="1:5" ht="15">
      <c r="A51" s="72" t="s">
        <v>52</v>
      </c>
      <c r="B51" s="75">
        <v>1010</v>
      </c>
      <c r="C51" s="75">
        <v>1990</v>
      </c>
      <c r="D51" s="75">
        <v>4020</v>
      </c>
      <c r="E51" s="74"/>
    </row>
    <row r="52" spans="1:5" ht="15">
      <c r="A52" s="72" t="s">
        <v>53</v>
      </c>
      <c r="B52" s="76"/>
      <c r="C52" s="76"/>
      <c r="D52" s="76"/>
      <c r="E52" s="77">
        <v>1245000</v>
      </c>
    </row>
    <row r="53" spans="1:5" ht="15">
      <c r="A53" s="72" t="s">
        <v>63</v>
      </c>
      <c r="B53" s="84">
        <f>B51-(B49+B50)</f>
        <v>361</v>
      </c>
      <c r="C53" s="84">
        <f>C51-(C49+C50)</f>
        <v>739</v>
      </c>
      <c r="D53" s="84">
        <f>D51-(D49+D50)</f>
        <v>1495</v>
      </c>
      <c r="E53" s="74"/>
    </row>
    <row r="54" spans="1:5" ht="15">
      <c r="A54" s="72" t="s">
        <v>64</v>
      </c>
      <c r="B54" s="75">
        <f>B53*B48</f>
        <v>288800</v>
      </c>
      <c r="C54" s="75">
        <f>C53*C48</f>
        <v>702050</v>
      </c>
      <c r="D54" s="75">
        <f>D53*D48</f>
        <v>179400</v>
      </c>
      <c r="E54" s="85">
        <f>SUM(B54:D54)</f>
        <v>1170250</v>
      </c>
    </row>
    <row r="55" spans="1:5" ht="14.25">
      <c r="A55" s="68"/>
      <c r="B55" s="76"/>
      <c r="C55" s="76"/>
      <c r="D55" s="76"/>
      <c r="E55" s="74"/>
    </row>
    <row r="56" spans="1:5" ht="15">
      <c r="A56" s="72" t="s">
        <v>69</v>
      </c>
      <c r="B56" s="76"/>
      <c r="C56" s="76"/>
      <c r="D56" s="76"/>
      <c r="E56" s="77">
        <f>E54</f>
        <v>1170250</v>
      </c>
    </row>
    <row r="57" spans="1:5" ht="15">
      <c r="A57" s="72" t="s">
        <v>70</v>
      </c>
      <c r="B57" s="76"/>
      <c r="C57" s="76"/>
      <c r="D57" s="76"/>
      <c r="E57" s="77">
        <f>-E52</f>
        <v>-1245000</v>
      </c>
    </row>
    <row r="58" spans="1:5" ht="15.75" thickBot="1">
      <c r="A58" s="72" t="s">
        <v>71</v>
      </c>
      <c r="B58" s="76"/>
      <c r="C58" s="76"/>
      <c r="D58" s="76"/>
      <c r="E58" s="88">
        <f>SUM(E56:E57)</f>
        <v>-74750</v>
      </c>
    </row>
    <row r="59" spans="1:5" ht="15.75" thickBot="1" thickTop="1">
      <c r="A59" s="87"/>
      <c r="B59" s="82"/>
      <c r="C59" s="82"/>
      <c r="D59" s="82"/>
      <c r="E59" s="80"/>
    </row>
    <row r="60" ht="15" thickBot="1"/>
    <row r="61" spans="1:5" ht="18.75" thickBot="1">
      <c r="A61" s="100" t="s">
        <v>73</v>
      </c>
      <c r="B61" s="71"/>
      <c r="C61" s="71"/>
      <c r="D61" s="71"/>
      <c r="E61" s="42"/>
    </row>
    <row r="62" spans="1:5" ht="15">
      <c r="A62" s="89"/>
      <c r="B62" s="90" t="s">
        <v>26</v>
      </c>
      <c r="C62" s="90" t="s">
        <v>54</v>
      </c>
      <c r="D62" s="90" t="s">
        <v>55</v>
      </c>
      <c r="E62" s="91" t="s">
        <v>56</v>
      </c>
    </row>
    <row r="63" spans="1:5" ht="15">
      <c r="A63" s="72" t="s">
        <v>49</v>
      </c>
      <c r="B63" s="73">
        <v>100</v>
      </c>
      <c r="C63" s="73">
        <v>50</v>
      </c>
      <c r="D63" s="73">
        <v>-20</v>
      </c>
      <c r="E63" s="74"/>
    </row>
    <row r="64" spans="1:5" ht="15">
      <c r="A64" s="72" t="s">
        <v>50</v>
      </c>
      <c r="B64" s="75">
        <v>-20</v>
      </c>
      <c r="C64" s="75">
        <v>10</v>
      </c>
      <c r="D64" s="75">
        <v>0</v>
      </c>
      <c r="E64" s="74"/>
    </row>
    <row r="65" spans="1:5" ht="15">
      <c r="A65" s="72" t="s">
        <v>51</v>
      </c>
      <c r="B65" s="75">
        <v>1</v>
      </c>
      <c r="C65" s="75">
        <v>-1</v>
      </c>
      <c r="D65" s="75">
        <v>-5</v>
      </c>
      <c r="E65" s="74"/>
    </row>
    <row r="66" spans="1:5" ht="15">
      <c r="A66" s="72" t="s">
        <v>52</v>
      </c>
      <c r="B66" s="75">
        <v>-10</v>
      </c>
      <c r="C66" s="75">
        <v>10</v>
      </c>
      <c r="D66" s="75">
        <v>-20</v>
      </c>
      <c r="E66" s="74"/>
    </row>
    <row r="67" spans="1:5" ht="15">
      <c r="A67" s="72" t="s">
        <v>53</v>
      </c>
      <c r="B67" s="76"/>
      <c r="C67" s="76"/>
      <c r="D67" s="76"/>
      <c r="E67" s="77">
        <v>-45000</v>
      </c>
    </row>
    <row r="68" spans="1:5" ht="15">
      <c r="A68" s="72" t="s">
        <v>41</v>
      </c>
      <c r="B68" s="84">
        <f>(B66-(B64+B65))-361</f>
        <v>-352</v>
      </c>
      <c r="C68" s="84">
        <f>(C66-(C64+C65))-739</f>
        <v>-738</v>
      </c>
      <c r="D68" s="84">
        <f>(D66-(D64+D65))-1495</f>
        <v>-1510</v>
      </c>
      <c r="E68" s="74"/>
    </row>
    <row r="69" spans="1:5" ht="14.25">
      <c r="A69" s="68"/>
      <c r="B69" s="76"/>
      <c r="C69" s="76"/>
      <c r="D69" s="76"/>
      <c r="E69" s="74"/>
    </row>
    <row r="70" spans="1:5" ht="15">
      <c r="A70" s="72" t="s">
        <v>64</v>
      </c>
      <c r="B70" s="76"/>
      <c r="C70" s="76"/>
      <c r="D70" s="76"/>
      <c r="E70" s="92">
        <v>1221000</v>
      </c>
    </row>
    <row r="71" spans="1:5" ht="15">
      <c r="A71" s="72" t="s">
        <v>60</v>
      </c>
      <c r="B71" s="76"/>
      <c r="C71" s="76"/>
      <c r="D71" s="76"/>
      <c r="E71" s="92">
        <v>-1200000</v>
      </c>
    </row>
    <row r="72" spans="1:5" ht="15.75" thickBot="1">
      <c r="A72" s="72" t="s">
        <v>42</v>
      </c>
      <c r="B72" s="76"/>
      <c r="C72" s="76"/>
      <c r="D72" s="76"/>
      <c r="E72" s="93">
        <v>21000</v>
      </c>
    </row>
    <row r="73" spans="1:5" ht="15.75" thickBot="1" thickTop="1">
      <c r="A73" s="87"/>
      <c r="B73" s="82"/>
      <c r="C73" s="82"/>
      <c r="D73" s="82"/>
      <c r="E73" s="80"/>
    </row>
  </sheetData>
  <mergeCells count="7">
    <mergeCell ref="A46:E46"/>
    <mergeCell ref="A1:E1"/>
    <mergeCell ref="A61:E61"/>
    <mergeCell ref="A3:E3"/>
    <mergeCell ref="A12:E12"/>
    <mergeCell ref="A22:E22"/>
    <mergeCell ref="A34:E3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Nutzschwellen</dc:title>
  <dc:subject/>
  <dc:creator>Dana Prochazka</dc:creator>
  <cp:keywords/>
  <dc:description/>
  <cp:lastModifiedBy>Dana Prochazka</cp:lastModifiedBy>
  <dcterms:created xsi:type="dcterms:W3CDTF">1998-06-22T10:00:17Z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